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1db914edeffedd/Документы/Блюхера 40/ТСЖ/2026 год/Смета доходов и расходов/"/>
    </mc:Choice>
  </mc:AlternateContent>
  <xr:revisionPtr revIDLastSave="300" documentId="14_{3B02F2F3-48F3-4537-B80C-901771ADFB39}" xr6:coauthVersionLast="47" xr6:coauthVersionMax="47" xr10:uidLastSave="{BA633395-12B8-4E94-9E3B-54C8B411371C}"/>
  <bookViews>
    <workbookView xWindow="-120" yWindow="-120" windowWidth="38640" windowHeight="21240" xr2:uid="{6DDFE4E9-05C7-4230-85D1-D33FCAD1B55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D72" i="1" s="1"/>
  <c r="C73" i="1"/>
  <c r="D73" i="1" s="1"/>
  <c r="C74" i="1"/>
  <c r="D74" i="1" s="1"/>
  <c r="C75" i="1"/>
  <c r="D75" i="1" s="1"/>
  <c r="C71" i="1"/>
  <c r="D71" i="1" s="1"/>
  <c r="B76" i="1"/>
  <c r="D8" i="1"/>
  <c r="D10" i="1" s="1"/>
  <c r="D76" i="1" l="1"/>
  <c r="C76" i="1"/>
  <c r="D49" i="1"/>
  <c r="E49" i="1" s="1"/>
  <c r="E48" i="1"/>
  <c r="F48" i="1" s="1"/>
  <c r="G48" i="1" s="1"/>
  <c r="E55" i="1"/>
  <c r="E62" i="1"/>
  <c r="F62" i="1" s="1"/>
  <c r="G62" i="1" s="1"/>
  <c r="E63" i="1"/>
  <c r="F63" i="1" s="1"/>
  <c r="G63" i="1" s="1"/>
  <c r="E36" i="1"/>
  <c r="F36" i="1" s="1"/>
  <c r="G36" i="1" s="1"/>
  <c r="E60" i="1"/>
  <c r="F60" i="1" s="1"/>
  <c r="G60" i="1" s="1"/>
  <c r="E59" i="1"/>
  <c r="F59" i="1" s="1"/>
  <c r="G59" i="1" s="1"/>
  <c r="C56" i="1"/>
  <c r="E16" i="1"/>
  <c r="E17" i="1"/>
  <c r="F17" i="1" s="1"/>
  <c r="G17" i="1" s="1"/>
  <c r="E22" i="1"/>
  <c r="F56" i="1"/>
  <c r="E56" i="1" s="1"/>
  <c r="E24" i="1"/>
  <c r="E34" i="1"/>
  <c r="F34" i="1" s="1"/>
  <c r="E39" i="1"/>
  <c r="E33" i="1"/>
  <c r="E25" i="1"/>
  <c r="F25" i="1" s="1"/>
  <c r="G25" i="1" s="1"/>
  <c r="E52" i="1"/>
  <c r="C51" i="1"/>
  <c r="E57" i="1"/>
  <c r="F57" i="1" s="1"/>
  <c r="G57" i="1" s="1"/>
  <c r="E58" i="1"/>
  <c r="F58" i="1" s="1"/>
  <c r="G58" i="1" s="1"/>
  <c r="E61" i="1"/>
  <c r="F61" i="1" s="1"/>
  <c r="G61" i="1" s="1"/>
  <c r="E40" i="1"/>
  <c r="F40" i="1" s="1"/>
  <c r="G40" i="1" s="1"/>
  <c r="E47" i="1"/>
  <c r="E30" i="1"/>
  <c r="F30" i="1" s="1"/>
  <c r="G30" i="1" s="1"/>
  <c r="E29" i="1"/>
  <c r="F29" i="1" s="1"/>
  <c r="G29" i="1" s="1"/>
  <c r="E28" i="1"/>
  <c r="E44" i="1"/>
  <c r="F44" i="1" s="1"/>
  <c r="G44" i="1" s="1"/>
  <c r="E43" i="1"/>
  <c r="E42" i="1" s="1"/>
  <c r="E35" i="1"/>
  <c r="F35" i="1" s="1"/>
  <c r="G35" i="1" s="1"/>
  <c r="E23" i="1"/>
  <c r="F23" i="1" s="1"/>
  <c r="G23" i="1" s="1"/>
  <c r="E46" i="1" l="1"/>
  <c r="E18" i="1"/>
  <c r="E32" i="1"/>
  <c r="E27" i="1"/>
  <c r="F22" i="1"/>
  <c r="G22" i="1" s="1"/>
  <c r="E21" i="1"/>
  <c r="E54" i="1"/>
  <c r="F39" i="1"/>
  <c r="G39" i="1" s="1"/>
  <c r="G38" i="1" s="1"/>
  <c r="E38" i="1"/>
  <c r="F52" i="1"/>
  <c r="G52" i="1" s="1"/>
  <c r="G51" i="1" s="1"/>
  <c r="E51" i="1"/>
  <c r="F33" i="1"/>
  <c r="G33" i="1" s="1"/>
  <c r="F28" i="1"/>
  <c r="F24" i="1"/>
  <c r="G24" i="1" s="1"/>
  <c r="G21" i="1" s="1"/>
  <c r="F49" i="1"/>
  <c r="G49" i="1" s="1"/>
  <c r="F47" i="1"/>
  <c r="G47" i="1" s="1"/>
  <c r="F55" i="1"/>
  <c r="F51" i="1"/>
  <c r="G28" i="1"/>
  <c r="G27" i="1" s="1"/>
  <c r="F27" i="1"/>
  <c r="F43" i="1"/>
  <c r="F21" i="1"/>
  <c r="G34" i="1"/>
  <c r="C18" i="1"/>
  <c r="C19" i="1" s="1"/>
  <c r="F16" i="1"/>
  <c r="F46" i="1" l="1"/>
  <c r="G32" i="1"/>
  <c r="G46" i="1"/>
  <c r="G55" i="1"/>
  <c r="G54" i="1" s="1"/>
  <c r="F54" i="1"/>
  <c r="F38" i="1"/>
  <c r="F42" i="1"/>
  <c r="G43" i="1"/>
  <c r="G42" i="1" s="1"/>
  <c r="F32" i="1"/>
  <c r="E19" i="1"/>
  <c r="E15" i="1" s="1"/>
  <c r="E66" i="1" s="1"/>
  <c r="F18" i="1"/>
  <c r="G16" i="1"/>
  <c r="G18" i="1" s="1"/>
  <c r="F19" i="1" l="1"/>
  <c r="G19" i="1" s="1"/>
  <c r="G15" i="1" s="1"/>
  <c r="G66" i="1" s="1"/>
  <c r="F15" i="1" l="1"/>
  <c r="F66" i="1" s="1"/>
</calcChain>
</file>

<file path=xl/sharedStrings.xml><?xml version="1.0" encoding="utf-8"?>
<sst xmlns="http://schemas.openxmlformats.org/spreadsheetml/2006/main" count="110" uniqueCount="79">
  <si>
    <t>Наименование</t>
  </si>
  <si>
    <t>Единица измерения</t>
  </si>
  <si>
    <t>Объем / кол-во в год</t>
  </si>
  <si>
    <t>Стоимость в год</t>
  </si>
  <si>
    <t>Стоимость месяц</t>
  </si>
  <si>
    <t>мес.</t>
  </si>
  <si>
    <t>Итого</t>
  </si>
  <si>
    <t>Обслуживание инженерного оборудования</t>
  </si>
  <si>
    <t>ед.</t>
  </si>
  <si>
    <t>Уборка МОП</t>
  </si>
  <si>
    <t>Генеральная уборка МКД</t>
  </si>
  <si>
    <t>Уборка придомовой территории</t>
  </si>
  <si>
    <t>Механизированное сдвигание снега</t>
  </si>
  <si>
    <t>Уход за насаждениями</t>
  </si>
  <si>
    <t>Управление</t>
  </si>
  <si>
    <t>Бухгалтерия</t>
  </si>
  <si>
    <t>РКО</t>
  </si>
  <si>
    <t>Печать квитанций</t>
  </si>
  <si>
    <t>Обслуживание слаботочных систем</t>
  </si>
  <si>
    <t>Обслуживание домофонной системы</t>
  </si>
  <si>
    <t>Обслуживание телеметрии</t>
  </si>
  <si>
    <t>Текущие ремонты</t>
  </si>
  <si>
    <t>Материалы</t>
  </si>
  <si>
    <t>Дополнительные услуги</t>
  </si>
  <si>
    <t>мес</t>
  </si>
  <si>
    <t>Комплексный уход</t>
  </si>
  <si>
    <t>сезон</t>
  </si>
  <si>
    <t>АДС</t>
  </si>
  <si>
    <t>год.</t>
  </si>
  <si>
    <t>Обслуживание и аварийное прикрытие Теплоучет сервис</t>
  </si>
  <si>
    <t>Интернет</t>
  </si>
  <si>
    <t>Мобильная связь</t>
  </si>
  <si>
    <t>Освидетельствование лифтов, 9 шт</t>
  </si>
  <si>
    <t>Страхование лифтов, 9 шт</t>
  </si>
  <si>
    <t>Обслуживание лифтов, 9 шт</t>
  </si>
  <si>
    <t>Аренда ковриков, 6 шт</t>
  </si>
  <si>
    <t>Дератизация</t>
  </si>
  <si>
    <t>Расходы на юриста</t>
  </si>
  <si>
    <t>Председатель с НДФЛ</t>
  </si>
  <si>
    <t>Инженер с НДФЛ</t>
  </si>
  <si>
    <t>Выплаты в ФСС</t>
  </si>
  <si>
    <t>Смартфон для Мах</t>
  </si>
  <si>
    <t>Цилиндры для замков (замена при смене УК)</t>
  </si>
  <si>
    <t>м2/мес</t>
  </si>
  <si>
    <t xml:space="preserve">Техническое обслуживание противопожарных систем СПС,СОУЭ, АДУ, АУПТ (ВПВ) </t>
  </si>
  <si>
    <t>Текущий ремонт</t>
  </si>
  <si>
    <t>В год</t>
  </si>
  <si>
    <t>В месяц</t>
  </si>
  <si>
    <t>Фонд оплаты труда с налогами</t>
  </si>
  <si>
    <t>Инвентарь и материалы</t>
  </si>
  <si>
    <t>Доходы</t>
  </si>
  <si>
    <t>Источник доходов</t>
  </si>
  <si>
    <t>Цена ед.</t>
  </si>
  <si>
    <t>м2/мес.</t>
  </si>
  <si>
    <t>Итого доходов</t>
  </si>
  <si>
    <t>Уборка проездов в паркинге (только проезды, личные парковочные места по отдельному соглашению)</t>
  </si>
  <si>
    <t>CRM "Бурмистр"</t>
  </si>
  <si>
    <t>Уборка МОП по графику (подъезды, квартирные холлы, лифты)</t>
  </si>
  <si>
    <t>Уборка придомовой территории, включая контейнерную площадку</t>
  </si>
  <si>
    <t>Смета доходов и расходов на год ТСН "Блюхера, 40"</t>
  </si>
  <si>
    <t>Итого на управление, содержание и ремонт</t>
  </si>
  <si>
    <t>на м2</t>
  </si>
  <si>
    <t>Расходы на управление, содержание и ремонт</t>
  </si>
  <si>
    <t>Расходы на КРСОИ</t>
  </si>
  <si>
    <t>Наименование ресурса на содержание общего имущества</t>
  </si>
  <si>
    <t>ХВС</t>
  </si>
  <si>
    <t>ХВС на ГВС</t>
  </si>
  <si>
    <t>Тепловая энергия на ГВС</t>
  </si>
  <si>
    <t>Водоотведение</t>
  </si>
  <si>
    <t>Электроэнергия</t>
  </si>
  <si>
    <t>Рублей в год</t>
  </si>
  <si>
    <t>Общая площадь собственности: 23158,61 м2</t>
  </si>
  <si>
    <t xml:space="preserve">Цена на м2 </t>
  </si>
  <si>
    <t>Период июнь 2026-май 2027 (финансовый год)</t>
  </si>
  <si>
    <t>Председатель правления ТСН "Блюхера, 40" ______________ / Антонов П. Б.</t>
  </si>
  <si>
    <t>Плата за управление, содержание и ремонт</t>
  </si>
  <si>
    <t>руб/м2</t>
  </si>
  <si>
    <t>Коммунальные ресурсы на содержание общего имущества, расчитаны на основании отчета Управляющей компании за 2025 год с повышающим коэфициентом 1,1 (повышение цен на коммунальные ресурсы в октябре). Фактические расходы, выставляемые в квитанциях, будут определены как обычно на основании 354 постановления  с учетом показаний приборов общедомового учета и текущих тарифов.</t>
  </si>
  <si>
    <t>Утверждено общим собранием членов ТСН "Блюхера,40" №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</si>
</sst>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20"/>
      <color theme="1"/>
      <name val="Aptos Narrow"/>
      <family val="2"/>
      <charset val="204"/>
      <scheme val="minor"/>
    </font>
    <font>
      <b/>
      <sz val="20"/>
      <color theme="1"/>
      <name val="Aptos Narrow"/>
      <family val="2"/>
      <scheme val="minor"/>
    </font>
    <font>
      <sz val="14"/>
      <color theme="0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2" xfId="0" applyBorder="1"/>
    <xf numFmtId="0" fontId="0" fillId="4" borderId="1" xfId="0" applyFill="1" applyBorder="1" applyAlignment="1">
      <alignment horizontal="right" vertical="top"/>
    </xf>
    <xf numFmtId="4" fontId="0" fillId="0" borderId="1" xfId="0" applyNumberFormat="1" applyBorder="1"/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2304-DC39-4ABE-9A7C-FF805F26D1F1}">
  <dimension ref="A1:N79"/>
  <sheetViews>
    <sheetView tabSelected="1" topLeftCell="A38" workbookViewId="0">
      <selection sqref="A1:G76"/>
    </sheetView>
  </sheetViews>
  <sheetFormatPr defaultRowHeight="15" outlineLevelRow="1" x14ac:dyDescent="0.25"/>
  <cols>
    <col min="1" max="1" width="44.42578125" style="2" customWidth="1"/>
    <col min="2" max="2" width="16" style="12" customWidth="1"/>
    <col min="3" max="3" width="14.85546875" style="12" customWidth="1"/>
    <col min="4" max="4" width="18.140625" customWidth="1"/>
    <col min="5" max="5" width="22.140625" customWidth="1"/>
    <col min="6" max="6" width="15.28515625" customWidth="1"/>
    <col min="7" max="7" width="12" customWidth="1"/>
    <col min="8" max="9" width="9.140625" hidden="1" customWidth="1"/>
  </cols>
  <sheetData>
    <row r="1" spans="1:7" ht="40.5" customHeight="1" x14ac:dyDescent="0.25">
      <c r="A1" s="28" t="s">
        <v>59</v>
      </c>
      <c r="B1" s="28"/>
      <c r="C1" s="28"/>
      <c r="D1" s="28"/>
      <c r="E1" s="25">
        <v>23158.61</v>
      </c>
    </row>
    <row r="2" spans="1:7" x14ac:dyDescent="0.25">
      <c r="A2" s="2" t="s">
        <v>71</v>
      </c>
      <c r="C2" s="40" t="s">
        <v>78</v>
      </c>
      <c r="D2" s="40"/>
      <c r="E2" s="40"/>
      <c r="F2" s="40"/>
      <c r="G2" s="40"/>
    </row>
    <row r="3" spans="1:7" x14ac:dyDescent="0.25">
      <c r="A3" s="2" t="s">
        <v>73</v>
      </c>
    </row>
    <row r="4" spans="1:7" x14ac:dyDescent="0.25">
      <c r="C4" s="40" t="s">
        <v>74</v>
      </c>
      <c r="D4" s="40"/>
      <c r="E4" s="40"/>
      <c r="F4" s="40"/>
      <c r="G4" s="40"/>
    </row>
    <row r="5" spans="1:7" ht="26.25" x14ac:dyDescent="0.4">
      <c r="A5" s="17" t="s">
        <v>50</v>
      </c>
    </row>
    <row r="7" spans="1:7" s="4" customFormat="1" ht="30" x14ac:dyDescent="0.25">
      <c r="A7" s="23" t="s">
        <v>51</v>
      </c>
      <c r="B7" s="24" t="s">
        <v>1</v>
      </c>
      <c r="C7" s="24" t="s">
        <v>52</v>
      </c>
      <c r="D7" s="24" t="s">
        <v>46</v>
      </c>
    </row>
    <row r="8" spans="1:7" x14ac:dyDescent="0.25">
      <c r="A8" s="8" t="s">
        <v>75</v>
      </c>
      <c r="B8" s="13" t="s">
        <v>53</v>
      </c>
      <c r="C8" s="27">
        <v>37.5</v>
      </c>
      <c r="D8" s="9">
        <f>C8*12*E1</f>
        <v>10421374.5</v>
      </c>
    </row>
    <row r="10" spans="1:7" x14ac:dyDescent="0.25">
      <c r="C10" s="12" t="s">
        <v>54</v>
      </c>
      <c r="D10">
        <f>D8</f>
        <v>10421374.5</v>
      </c>
    </row>
    <row r="12" spans="1:7" ht="24.75" customHeight="1" x14ac:dyDescent="0.4">
      <c r="A12" s="34" t="s">
        <v>62</v>
      </c>
      <c r="B12" s="34"/>
      <c r="C12" s="34"/>
      <c r="D12" s="34"/>
      <c r="E12" s="34"/>
    </row>
    <row r="14" spans="1:7" s="4" customFormat="1" ht="30" x14ac:dyDescent="0.25">
      <c r="A14" s="14" t="s">
        <v>0</v>
      </c>
      <c r="B14" s="18" t="s">
        <v>1</v>
      </c>
      <c r="C14" s="18" t="s">
        <v>52</v>
      </c>
      <c r="D14" s="18" t="s">
        <v>2</v>
      </c>
      <c r="E14" s="18" t="s">
        <v>3</v>
      </c>
      <c r="F14" s="18" t="s">
        <v>4</v>
      </c>
      <c r="G14" s="18" t="s">
        <v>72</v>
      </c>
    </row>
    <row r="15" spans="1:7" s="1" customFormat="1" x14ac:dyDescent="0.25">
      <c r="A15" s="10" t="s">
        <v>48</v>
      </c>
      <c r="B15" s="19" t="s">
        <v>5</v>
      </c>
      <c r="C15" s="19"/>
      <c r="D15" s="11">
        <v>12</v>
      </c>
      <c r="E15" s="11">
        <f>E18+E19</f>
        <v>2511600</v>
      </c>
      <c r="F15" s="11">
        <f>F18+F19</f>
        <v>209300</v>
      </c>
      <c r="G15" s="11">
        <f>G18+G19</f>
        <v>9.0500000000000007</v>
      </c>
    </row>
    <row r="16" spans="1:7" outlineLevel="1" x14ac:dyDescent="0.25">
      <c r="A16" s="8" t="s">
        <v>38</v>
      </c>
      <c r="B16" s="13" t="s">
        <v>5</v>
      </c>
      <c r="C16" s="13">
        <v>92000</v>
      </c>
      <c r="D16" s="9">
        <v>12</v>
      </c>
      <c r="E16" s="9">
        <f>C16*D16</f>
        <v>1104000</v>
      </c>
      <c r="F16" s="9">
        <f>E16/12</f>
        <v>92000</v>
      </c>
      <c r="G16" s="9">
        <f>ROUNDUP(F16/$E$1,2)</f>
        <v>3.98</v>
      </c>
    </row>
    <row r="17" spans="1:7" outlineLevel="1" x14ac:dyDescent="0.25">
      <c r="A17" s="8" t="s">
        <v>39</v>
      </c>
      <c r="B17" s="13" t="s">
        <v>5</v>
      </c>
      <c r="C17" s="13">
        <v>69000</v>
      </c>
      <c r="D17" s="9">
        <v>12</v>
      </c>
      <c r="E17" s="9">
        <f t="shared" ref="E17" si="0">C17*D17</f>
        <v>828000</v>
      </c>
      <c r="F17" s="9">
        <f t="shared" ref="F17:F19" si="1">E17/12</f>
        <v>69000</v>
      </c>
      <c r="G17" s="9">
        <f>ROUNDUP(F17/$E$1,2)</f>
        <v>2.98</v>
      </c>
    </row>
    <row r="18" spans="1:7" outlineLevel="1" x14ac:dyDescent="0.25">
      <c r="A18" s="8" t="s">
        <v>6</v>
      </c>
      <c r="B18" s="13"/>
      <c r="C18" s="13">
        <f>SUM(C16:C17)</f>
        <v>161000</v>
      </c>
      <c r="D18" s="9">
        <v>12</v>
      </c>
      <c r="E18" s="9">
        <f>SUM(E16:E17)</f>
        <v>1932000</v>
      </c>
      <c r="F18" s="9">
        <f>SUM(F16:F17)</f>
        <v>161000</v>
      </c>
      <c r="G18" s="9">
        <f>SUM(G16:G17)</f>
        <v>6.96</v>
      </c>
    </row>
    <row r="19" spans="1:7" outlineLevel="1" x14ac:dyDescent="0.25">
      <c r="A19" s="8" t="s">
        <v>40</v>
      </c>
      <c r="B19" s="13" t="s">
        <v>5</v>
      </c>
      <c r="C19" s="13">
        <f>ROUND(C18*0.3,2)</f>
        <v>48300</v>
      </c>
      <c r="D19" s="9">
        <v>12</v>
      </c>
      <c r="E19" s="9">
        <f t="shared" ref="E19" si="2">C19*D19</f>
        <v>579600</v>
      </c>
      <c r="F19" s="9">
        <f t="shared" si="1"/>
        <v>48300</v>
      </c>
      <c r="G19" s="9">
        <f>ROUNDUP(F19/$E$1,2)</f>
        <v>2.09</v>
      </c>
    </row>
    <row r="21" spans="1:7" x14ac:dyDescent="0.25">
      <c r="A21" s="10" t="s">
        <v>7</v>
      </c>
      <c r="B21" s="19"/>
      <c r="C21" s="19"/>
      <c r="D21" s="11"/>
      <c r="E21" s="11">
        <f>SUM(E22:E25)</f>
        <v>2709052</v>
      </c>
      <c r="F21" s="11">
        <f>SUM(F22:F25)</f>
        <v>225754.34</v>
      </c>
      <c r="G21" s="11">
        <f>SUM(G22:G25)</f>
        <v>9.759999999999998</v>
      </c>
    </row>
    <row r="22" spans="1:7" outlineLevel="1" x14ac:dyDescent="0.25">
      <c r="A22" s="8" t="s">
        <v>33</v>
      </c>
      <c r="B22" s="13" t="s">
        <v>28</v>
      </c>
      <c r="C22" s="13">
        <v>3000</v>
      </c>
      <c r="D22" s="9">
        <v>1</v>
      </c>
      <c r="E22" s="9">
        <f t="shared" ref="E22:E24" si="3">C22*D22</f>
        <v>3000</v>
      </c>
      <c r="F22" s="9">
        <f t="shared" ref="F22:F23" si="4">E22/12</f>
        <v>250</v>
      </c>
      <c r="G22" s="9">
        <f>ROUNDUP(F22/$E$1,2)</f>
        <v>0.02</v>
      </c>
    </row>
    <row r="23" spans="1:7" outlineLevel="1" x14ac:dyDescent="0.25">
      <c r="A23" s="8" t="s">
        <v>34</v>
      </c>
      <c r="B23" s="13" t="s">
        <v>5</v>
      </c>
      <c r="C23" s="13">
        <v>100000</v>
      </c>
      <c r="D23" s="9">
        <v>12</v>
      </c>
      <c r="E23" s="9">
        <f t="shared" si="3"/>
        <v>1200000</v>
      </c>
      <c r="F23" s="9">
        <f t="shared" si="4"/>
        <v>100000</v>
      </c>
      <c r="G23" s="9">
        <f>ROUNDUP(F23/$E$1,2)</f>
        <v>4.3199999999999994</v>
      </c>
    </row>
    <row r="24" spans="1:7" outlineLevel="1" x14ac:dyDescent="0.25">
      <c r="A24" s="8" t="s">
        <v>32</v>
      </c>
      <c r="B24" s="13" t="s">
        <v>28</v>
      </c>
      <c r="C24" s="13">
        <v>61000</v>
      </c>
      <c r="D24" s="9">
        <v>1</v>
      </c>
      <c r="E24" s="9">
        <f t="shared" si="3"/>
        <v>61000</v>
      </c>
      <c r="F24" s="9">
        <f>ROUNDUP(E24/12,2)</f>
        <v>5083.34</v>
      </c>
      <c r="G24" s="9">
        <f>ROUNDUP(F24/$E$1,2)</f>
        <v>0.22</v>
      </c>
    </row>
    <row r="25" spans="1:7" ht="30" outlineLevel="1" x14ac:dyDescent="0.25">
      <c r="A25" s="8" t="s">
        <v>29</v>
      </c>
      <c r="B25" s="13" t="s">
        <v>5</v>
      </c>
      <c r="C25" s="13">
        <v>120421</v>
      </c>
      <c r="D25" s="9">
        <v>12</v>
      </c>
      <c r="E25" s="9">
        <f t="shared" ref="E25" si="5">C25*D25</f>
        <v>1445052</v>
      </c>
      <c r="F25" s="9">
        <f t="shared" ref="F25" si="6">E25/12</f>
        <v>120421</v>
      </c>
      <c r="G25" s="9">
        <f>ROUNDUP(F25/$E$1,2)</f>
        <v>5.2</v>
      </c>
    </row>
    <row r="27" spans="1:7" x14ac:dyDescent="0.25">
      <c r="A27" s="10" t="s">
        <v>18</v>
      </c>
      <c r="B27" s="19"/>
      <c r="C27" s="19"/>
      <c r="D27" s="11"/>
      <c r="E27" s="11">
        <f>SUM(E28:E30)</f>
        <v>648000</v>
      </c>
      <c r="F27" s="11">
        <f>SUM(F28:F30)</f>
        <v>54000</v>
      </c>
      <c r="G27" s="11">
        <f>SUM(G28:G30)</f>
        <v>2.35</v>
      </c>
    </row>
    <row r="28" spans="1:7" ht="30" outlineLevel="1" x14ac:dyDescent="0.25">
      <c r="A28" s="8" t="s">
        <v>44</v>
      </c>
      <c r="B28" s="13" t="s">
        <v>5</v>
      </c>
      <c r="C28" s="13">
        <v>29000</v>
      </c>
      <c r="D28" s="9">
        <v>12</v>
      </c>
      <c r="E28" s="9">
        <f>C28*D28</f>
        <v>348000</v>
      </c>
      <c r="F28" s="9">
        <f>E28/12</f>
        <v>29000</v>
      </c>
      <c r="G28" s="9">
        <f>ROUNDUP(F28/$E$1,2)</f>
        <v>1.26</v>
      </c>
    </row>
    <row r="29" spans="1:7" outlineLevel="1" x14ac:dyDescent="0.25">
      <c r="A29" s="8" t="s">
        <v>19</v>
      </c>
      <c r="B29" s="13" t="s">
        <v>5</v>
      </c>
      <c r="C29" s="13">
        <v>20000</v>
      </c>
      <c r="D29" s="9">
        <v>12</v>
      </c>
      <c r="E29" s="9">
        <f t="shared" ref="E29:E30" si="7">C29*D29</f>
        <v>240000</v>
      </c>
      <c r="F29" s="9">
        <f t="shared" ref="F29:F30" si="8">E29/12</f>
        <v>20000</v>
      </c>
      <c r="G29" s="9">
        <f>ROUNDUP(F29/$E$1,2)</f>
        <v>0.87</v>
      </c>
    </row>
    <row r="30" spans="1:7" outlineLevel="1" x14ac:dyDescent="0.25">
      <c r="A30" s="8" t="s">
        <v>20</v>
      </c>
      <c r="B30" s="13" t="s">
        <v>5</v>
      </c>
      <c r="C30" s="13">
        <v>5000</v>
      </c>
      <c r="D30" s="9">
        <v>12</v>
      </c>
      <c r="E30" s="9">
        <f t="shared" si="7"/>
        <v>60000</v>
      </c>
      <c r="F30" s="9">
        <f t="shared" si="8"/>
        <v>5000</v>
      </c>
      <c r="G30" s="9">
        <f>ROUNDUP(F30/$E$1,2)</f>
        <v>0.22</v>
      </c>
    </row>
    <row r="32" spans="1:7" x14ac:dyDescent="0.25">
      <c r="A32" s="10" t="s">
        <v>9</v>
      </c>
      <c r="B32" s="19"/>
      <c r="C32" s="19"/>
      <c r="D32" s="11"/>
      <c r="E32" s="11">
        <f>SUM(E33:E36)</f>
        <v>1527902</v>
      </c>
      <c r="F32" s="11">
        <f>SUM(F34:F35)</f>
        <v>19203.169999999998</v>
      </c>
      <c r="G32" s="11">
        <f>SUM(G33:G36)</f>
        <v>5.52</v>
      </c>
    </row>
    <row r="33" spans="1:7" ht="30" outlineLevel="1" x14ac:dyDescent="0.25">
      <c r="A33" s="8" t="s">
        <v>57</v>
      </c>
      <c r="B33" s="13" t="s">
        <v>24</v>
      </c>
      <c r="C33" s="13">
        <v>103122</v>
      </c>
      <c r="D33" s="9">
        <v>12</v>
      </c>
      <c r="E33" s="9">
        <f>C33*D33</f>
        <v>1237464</v>
      </c>
      <c r="F33" s="9">
        <f>ROUND(E33/12,2)</f>
        <v>103122</v>
      </c>
      <c r="G33" s="9">
        <f>ROUNDUP(F33/$E$1,2)</f>
        <v>4.46</v>
      </c>
    </row>
    <row r="34" spans="1:7" outlineLevel="1" x14ac:dyDescent="0.25">
      <c r="A34" s="8" t="s">
        <v>10</v>
      </c>
      <c r="B34" s="13" t="s">
        <v>8</v>
      </c>
      <c r="C34" s="13">
        <v>126038</v>
      </c>
      <c r="D34" s="9">
        <v>1</v>
      </c>
      <c r="E34" s="9">
        <f t="shared" ref="E34" si="9">C34*D34</f>
        <v>126038</v>
      </c>
      <c r="F34" s="9">
        <f t="shared" ref="F34:F35" si="10">ROUND(E34/12,2)</f>
        <v>10503.17</v>
      </c>
      <c r="G34" s="9">
        <f>ROUNDUP(F34/$E$1,2)</f>
        <v>0.46</v>
      </c>
    </row>
    <row r="35" spans="1:7" ht="45" x14ac:dyDescent="0.25">
      <c r="A35" s="8" t="s">
        <v>55</v>
      </c>
      <c r="B35" s="13" t="s">
        <v>8</v>
      </c>
      <c r="C35" s="13">
        <v>26100</v>
      </c>
      <c r="D35" s="9">
        <v>4</v>
      </c>
      <c r="E35" s="9">
        <f t="shared" ref="E35" si="11">C35*D35</f>
        <v>104400</v>
      </c>
      <c r="F35" s="9">
        <f t="shared" si="10"/>
        <v>8700</v>
      </c>
      <c r="G35" s="9">
        <f>ROUNDUP(F35/$E$1,2)</f>
        <v>0.38</v>
      </c>
    </row>
    <row r="36" spans="1:7" x14ac:dyDescent="0.25">
      <c r="A36" s="8" t="s">
        <v>36</v>
      </c>
      <c r="B36" s="13" t="s">
        <v>8</v>
      </c>
      <c r="C36" s="13">
        <v>15000</v>
      </c>
      <c r="D36" s="9">
        <v>4</v>
      </c>
      <c r="E36" s="9">
        <f t="shared" ref="E36" si="12">C36*D36</f>
        <v>60000</v>
      </c>
      <c r="F36" s="9">
        <f t="shared" ref="F36" si="13">ROUND(E36/12,2)</f>
        <v>5000</v>
      </c>
      <c r="G36" s="9">
        <f>ROUNDUP(F36/$E$1,2)</f>
        <v>0.22</v>
      </c>
    </row>
    <row r="38" spans="1:7" outlineLevel="1" x14ac:dyDescent="0.25">
      <c r="A38" s="10" t="s">
        <v>11</v>
      </c>
      <c r="B38" s="19"/>
      <c r="C38" s="19"/>
      <c r="D38" s="11"/>
      <c r="E38" s="11">
        <f>SUM(E39:E40)</f>
        <v>720000</v>
      </c>
      <c r="F38" s="11">
        <f>SUM(F40:F40)</f>
        <v>15000</v>
      </c>
      <c r="G38" s="11">
        <f>SUM(G39:G40)</f>
        <v>2.6</v>
      </c>
    </row>
    <row r="39" spans="1:7" ht="30" outlineLevel="1" x14ac:dyDescent="0.25">
      <c r="A39" s="8" t="s">
        <v>58</v>
      </c>
      <c r="B39" s="13" t="s">
        <v>5</v>
      </c>
      <c r="C39" s="13">
        <v>45000</v>
      </c>
      <c r="D39" s="9">
        <v>12</v>
      </c>
      <c r="E39" s="9">
        <f>C39*D39</f>
        <v>540000</v>
      </c>
      <c r="F39" s="9">
        <f>ROUND(E39/12,2)</f>
        <v>45000</v>
      </c>
      <c r="G39" s="9">
        <f>ROUNDUP(F39/$E$1,2)</f>
        <v>1.95</v>
      </c>
    </row>
    <row r="40" spans="1:7" outlineLevel="1" x14ac:dyDescent="0.25">
      <c r="A40" s="8" t="s">
        <v>12</v>
      </c>
      <c r="B40" s="13" t="s">
        <v>8</v>
      </c>
      <c r="C40" s="13">
        <v>30000</v>
      </c>
      <c r="D40" s="9">
        <v>6</v>
      </c>
      <c r="E40" s="9">
        <f t="shared" ref="E40" si="14">C40*D40</f>
        <v>180000</v>
      </c>
      <c r="F40" s="9">
        <f t="shared" ref="F40" si="15">ROUND(E40/12,2)</f>
        <v>15000</v>
      </c>
      <c r="G40" s="9">
        <f>ROUNDUP(F40/$E$1,2)</f>
        <v>0.65</v>
      </c>
    </row>
    <row r="42" spans="1:7" outlineLevel="1" x14ac:dyDescent="0.25">
      <c r="A42" s="10" t="s">
        <v>13</v>
      </c>
      <c r="B42" s="19"/>
      <c r="C42" s="19"/>
      <c r="D42" s="11"/>
      <c r="E42" s="11">
        <f>SUM(E43:E44)</f>
        <v>290000</v>
      </c>
      <c r="F42" s="11">
        <f>SUM(F43:F44)</f>
        <v>24166.67</v>
      </c>
      <c r="G42" s="11">
        <f>SUM(G43:G44)</f>
        <v>1.06</v>
      </c>
    </row>
    <row r="43" spans="1:7" outlineLevel="1" x14ac:dyDescent="0.25">
      <c r="A43" s="8" t="s">
        <v>25</v>
      </c>
      <c r="B43" s="13" t="s">
        <v>26</v>
      </c>
      <c r="C43" s="13">
        <v>270000</v>
      </c>
      <c r="D43" s="9">
        <v>1</v>
      </c>
      <c r="E43" s="9">
        <f>C43*D43</f>
        <v>270000</v>
      </c>
      <c r="F43" s="9">
        <f>ROUND(E43/12,2)</f>
        <v>22500</v>
      </c>
      <c r="G43" s="9">
        <f>ROUNDUP(F43/$E$1,2)</f>
        <v>0.98</v>
      </c>
    </row>
    <row r="44" spans="1:7" outlineLevel="1" x14ac:dyDescent="0.25">
      <c r="A44" s="8" t="s">
        <v>22</v>
      </c>
      <c r="B44" s="13" t="s">
        <v>8</v>
      </c>
      <c r="C44" s="13">
        <v>20000</v>
      </c>
      <c r="D44" s="9">
        <v>1</v>
      </c>
      <c r="E44" s="9">
        <f t="shared" ref="E44" si="16">C44*D44</f>
        <v>20000</v>
      </c>
      <c r="F44" s="9">
        <f t="shared" ref="F44" si="17">ROUND(E44/12,2)</f>
        <v>1666.67</v>
      </c>
      <c r="G44" s="9">
        <f>ROUNDUP(F44/$E$1,2)</f>
        <v>0.08</v>
      </c>
    </row>
    <row r="45" spans="1:7" ht="15.75" customHeight="1" x14ac:dyDescent="0.25"/>
    <row r="46" spans="1:7" outlineLevel="1" x14ac:dyDescent="0.25">
      <c r="A46" s="10" t="s">
        <v>21</v>
      </c>
      <c r="B46" s="19"/>
      <c r="C46" s="19"/>
      <c r="D46" s="11"/>
      <c r="E46" s="11">
        <f>SUM(E47:E49)</f>
        <v>439274.16</v>
      </c>
      <c r="F46" s="11">
        <f>SUM(F47:F49)</f>
        <v>36606.18</v>
      </c>
      <c r="G46" s="11">
        <f>SUM(G47:I49)</f>
        <v>1.59</v>
      </c>
    </row>
    <row r="47" spans="1:7" x14ac:dyDescent="0.25">
      <c r="A47" s="8" t="s">
        <v>49</v>
      </c>
      <c r="B47" s="13" t="s">
        <v>8</v>
      </c>
      <c r="C47" s="13">
        <v>5000</v>
      </c>
      <c r="D47" s="9">
        <v>12</v>
      </c>
      <c r="E47" s="9">
        <f t="shared" ref="E47" si="18">C47*D47</f>
        <v>60000</v>
      </c>
      <c r="F47" s="9">
        <f t="shared" ref="F47" si="19">ROUND(E47/12,2)</f>
        <v>5000</v>
      </c>
      <c r="G47" s="9">
        <f>ROUNDUP(F47/$E$1,2)</f>
        <v>0.22</v>
      </c>
    </row>
    <row r="48" spans="1:7" ht="17.25" customHeight="1" x14ac:dyDescent="0.25">
      <c r="A48" s="8" t="s">
        <v>42</v>
      </c>
      <c r="B48" s="13" t="s">
        <v>8</v>
      </c>
      <c r="C48" s="13">
        <v>1500</v>
      </c>
      <c r="D48" s="9">
        <v>12</v>
      </c>
      <c r="E48" s="9">
        <f t="shared" ref="E48" si="20">C48*D48</f>
        <v>18000</v>
      </c>
      <c r="F48" s="9">
        <f t="shared" ref="F48" si="21">ROUND(E48/12,2)</f>
        <v>1500</v>
      </c>
      <c r="G48" s="9">
        <f>ROUNDUP(F48/$E$1,2)</f>
        <v>6.9999999999999993E-2</v>
      </c>
    </row>
    <row r="49" spans="1:14" s="5" customFormat="1" x14ac:dyDescent="0.25">
      <c r="A49" s="6" t="s">
        <v>45</v>
      </c>
      <c r="B49" s="20" t="s">
        <v>43</v>
      </c>
      <c r="C49" s="20">
        <v>1.3</v>
      </c>
      <c r="D49" s="7">
        <f>12*23158.6</f>
        <v>277903.19999999995</v>
      </c>
      <c r="E49" s="7">
        <f>C49*D49</f>
        <v>361274.16</v>
      </c>
      <c r="F49" s="7">
        <f>ROUND(E49/12,2)</f>
        <v>30106.18</v>
      </c>
      <c r="G49" s="7">
        <f>ROUNDUP(F49/$E$1,2)</f>
        <v>1.3</v>
      </c>
    </row>
    <row r="51" spans="1:14" outlineLevel="1" x14ac:dyDescent="0.25">
      <c r="A51" s="10" t="s">
        <v>23</v>
      </c>
      <c r="B51" s="19"/>
      <c r="C51" s="19">
        <f>SUM(C52:C52)</f>
        <v>23000</v>
      </c>
      <c r="D51" s="11"/>
      <c r="E51" s="11">
        <f>SUM(E52:E52)</f>
        <v>276000</v>
      </c>
      <c r="F51" s="11">
        <f>SUM(F52:F52)</f>
        <v>23000</v>
      </c>
      <c r="G51" s="11">
        <f>SUM(G52:G52)</f>
        <v>1</v>
      </c>
    </row>
    <row r="52" spans="1:14" outlineLevel="1" x14ac:dyDescent="0.25">
      <c r="A52" s="8" t="s">
        <v>35</v>
      </c>
      <c r="B52" s="13" t="s">
        <v>5</v>
      </c>
      <c r="C52" s="13">
        <v>23000</v>
      </c>
      <c r="D52" s="9">
        <v>12</v>
      </c>
      <c r="E52" s="9">
        <f t="shared" ref="E52" si="22">C52*D52</f>
        <v>276000</v>
      </c>
      <c r="F52" s="9">
        <f t="shared" ref="F52" si="23">ROUND(E52/12,2)</f>
        <v>23000</v>
      </c>
      <c r="G52" s="9">
        <f>ROUNDUP(F52/$E$1,2)</f>
        <v>1</v>
      </c>
    </row>
    <row r="54" spans="1:14" ht="15.75" customHeight="1" outlineLevel="1" x14ac:dyDescent="0.25">
      <c r="A54" s="10" t="s">
        <v>14</v>
      </c>
      <c r="B54" s="19"/>
      <c r="C54" s="19"/>
      <c r="D54" s="11"/>
      <c r="E54" s="11">
        <f>SUM(E55:E63)</f>
        <v>1258974.2</v>
      </c>
      <c r="F54" s="11">
        <f>SUM(F55:F63)</f>
        <v>104914.52</v>
      </c>
      <c r="G54" s="11">
        <f>SUM(G55:G63)</f>
        <v>4.5699999999999994</v>
      </c>
    </row>
    <row r="55" spans="1:14" ht="15.75" customHeight="1" outlineLevel="1" x14ac:dyDescent="0.25">
      <c r="A55" s="8" t="s">
        <v>56</v>
      </c>
      <c r="B55" s="13" t="s">
        <v>5</v>
      </c>
      <c r="C55" s="13">
        <v>2000</v>
      </c>
      <c r="D55" s="9">
        <v>12</v>
      </c>
      <c r="E55" s="9">
        <f>C55*D55</f>
        <v>24000</v>
      </c>
      <c r="F55" s="9">
        <f>ROUND(E55/12,2)</f>
        <v>2000</v>
      </c>
      <c r="G55" s="9">
        <f>ROUNDUP(F55/$E$1,2)</f>
        <v>0.09</v>
      </c>
    </row>
    <row r="56" spans="1:14" x14ac:dyDescent="0.25">
      <c r="A56" s="8" t="s">
        <v>27</v>
      </c>
      <c r="B56" s="13" t="s">
        <v>24</v>
      </c>
      <c r="C56" s="13">
        <f>ROUND(0.68*E1,2)</f>
        <v>15747.85</v>
      </c>
      <c r="D56" s="9">
        <v>12</v>
      </c>
      <c r="E56" s="9">
        <f>F56*12</f>
        <v>188974.2</v>
      </c>
      <c r="F56" s="9">
        <f>ROUND(G56*E1,2)</f>
        <v>15747.85</v>
      </c>
      <c r="G56" s="9">
        <v>0.68</v>
      </c>
    </row>
    <row r="57" spans="1:14" ht="15.75" customHeight="1" outlineLevel="1" x14ac:dyDescent="0.25">
      <c r="A57" s="8" t="s">
        <v>15</v>
      </c>
      <c r="B57" s="13" t="s">
        <v>5</v>
      </c>
      <c r="C57" s="13">
        <v>56000</v>
      </c>
      <c r="D57" s="9">
        <v>12</v>
      </c>
      <c r="E57" s="9">
        <f t="shared" ref="E57:E58" si="24">C57*D57</f>
        <v>672000</v>
      </c>
      <c r="F57" s="9">
        <f t="shared" ref="F57:F58" si="25">ROUND(E57/12,2)</f>
        <v>56000</v>
      </c>
      <c r="G57" s="9">
        <f t="shared" ref="G57:G63" si="26">ROUNDUP(F57/$E$1,2)</f>
        <v>2.42</v>
      </c>
    </row>
    <row r="58" spans="1:14" ht="15.75" customHeight="1" outlineLevel="1" x14ac:dyDescent="0.25">
      <c r="A58" s="8" t="s">
        <v>16</v>
      </c>
      <c r="B58" s="13" t="s">
        <v>5</v>
      </c>
      <c r="C58" s="13">
        <v>2000</v>
      </c>
      <c r="D58" s="9">
        <v>12</v>
      </c>
      <c r="E58" s="9">
        <f t="shared" si="24"/>
        <v>24000</v>
      </c>
      <c r="F58" s="9">
        <f t="shared" si="25"/>
        <v>2000</v>
      </c>
      <c r="G58" s="9">
        <f t="shared" si="26"/>
        <v>0.09</v>
      </c>
    </row>
    <row r="59" spans="1:14" ht="15.75" customHeight="1" outlineLevel="1" x14ac:dyDescent="0.25">
      <c r="A59" s="8" t="s">
        <v>30</v>
      </c>
      <c r="B59" s="13" t="s">
        <v>5</v>
      </c>
      <c r="C59" s="13">
        <v>5000</v>
      </c>
      <c r="D59" s="9">
        <v>12</v>
      </c>
      <c r="E59" s="9">
        <f t="shared" ref="E59:E60" si="27">C59*D59</f>
        <v>60000</v>
      </c>
      <c r="F59" s="9">
        <f t="shared" ref="F59:F60" si="28">ROUND(E59/12,2)</f>
        <v>5000</v>
      </c>
      <c r="G59" s="9">
        <f t="shared" si="26"/>
        <v>0.22</v>
      </c>
    </row>
    <row r="60" spans="1:14" ht="15.75" customHeight="1" outlineLevel="1" x14ac:dyDescent="0.25">
      <c r="A60" s="8" t="s">
        <v>31</v>
      </c>
      <c r="B60" s="13" t="s">
        <v>5</v>
      </c>
      <c r="C60" s="13">
        <v>1000</v>
      </c>
      <c r="D60" s="9">
        <v>12</v>
      </c>
      <c r="E60" s="9">
        <f t="shared" si="27"/>
        <v>12000</v>
      </c>
      <c r="F60" s="9">
        <f t="shared" si="28"/>
        <v>1000</v>
      </c>
      <c r="G60" s="9">
        <f t="shared" si="26"/>
        <v>0.05</v>
      </c>
      <c r="N60">
        <v>1</v>
      </c>
    </row>
    <row r="61" spans="1:14" outlineLevel="1" x14ac:dyDescent="0.25">
      <c r="A61" s="8" t="s">
        <v>17</v>
      </c>
      <c r="B61" s="13" t="s">
        <v>5</v>
      </c>
      <c r="C61" s="13">
        <v>1500</v>
      </c>
      <c r="D61" s="9">
        <v>12</v>
      </c>
      <c r="E61" s="9">
        <f>C61*D61</f>
        <v>18000</v>
      </c>
      <c r="F61" s="9">
        <f>ROUND(E61/12,2)</f>
        <v>1500</v>
      </c>
      <c r="G61" s="9">
        <f t="shared" si="26"/>
        <v>6.9999999999999993E-2</v>
      </c>
    </row>
    <row r="62" spans="1:14" outlineLevel="1" x14ac:dyDescent="0.25">
      <c r="A62" s="8" t="s">
        <v>37</v>
      </c>
      <c r="B62" s="13" t="s">
        <v>5</v>
      </c>
      <c r="C62" s="13">
        <v>20000</v>
      </c>
      <c r="D62" s="9">
        <v>12</v>
      </c>
      <c r="E62" s="9">
        <f>C62*D62</f>
        <v>240000</v>
      </c>
      <c r="F62" s="9">
        <f>ROUND(E62/12,2)</f>
        <v>20000</v>
      </c>
      <c r="G62" s="9">
        <f t="shared" si="26"/>
        <v>0.87</v>
      </c>
    </row>
    <row r="63" spans="1:14" outlineLevel="1" x14ac:dyDescent="0.25">
      <c r="A63" s="8" t="s">
        <v>41</v>
      </c>
      <c r="B63" s="13" t="s">
        <v>8</v>
      </c>
      <c r="C63" s="13">
        <v>20000</v>
      </c>
      <c r="D63" s="9">
        <v>1</v>
      </c>
      <c r="E63" s="9">
        <f>C63*D63</f>
        <v>20000</v>
      </c>
      <c r="F63" s="9">
        <f>ROUND(E63/12,2)</f>
        <v>1666.67</v>
      </c>
      <c r="G63" s="9">
        <f t="shared" si="26"/>
        <v>0.08</v>
      </c>
    </row>
    <row r="65" spans="1:9" x14ac:dyDescent="0.25">
      <c r="C65" s="32"/>
      <c r="D65" s="32"/>
      <c r="E65" s="16" t="s">
        <v>46</v>
      </c>
      <c r="F65" s="16" t="s">
        <v>47</v>
      </c>
      <c r="G65" s="16" t="s">
        <v>61</v>
      </c>
    </row>
    <row r="66" spans="1:9" s="3" customFormat="1" ht="30" customHeight="1" x14ac:dyDescent="0.25">
      <c r="A66" s="4"/>
      <c r="B66" s="21"/>
      <c r="C66" s="33" t="s">
        <v>60</v>
      </c>
      <c r="D66" s="33"/>
      <c r="E66" s="22">
        <f>E15+E21+E32+E38+E42+E46+E51+E27+E54</f>
        <v>10380802.359999999</v>
      </c>
      <c r="F66" s="15">
        <f>F15+F21+F32+F38+F42+F46+F51+F54</f>
        <v>657944.88</v>
      </c>
      <c r="G66" s="26">
        <f>G15+G21+G32+G38+G42+G54+G27+G46+G51</f>
        <v>37.5</v>
      </c>
      <c r="I66" s="3">
        <v>39.5</v>
      </c>
    </row>
    <row r="67" spans="1:9" ht="30" customHeight="1" x14ac:dyDescent="0.25"/>
    <row r="68" spans="1:9" ht="24.75" customHeight="1" x14ac:dyDescent="0.4">
      <c r="A68" s="35" t="s">
        <v>63</v>
      </c>
      <c r="B68" s="35"/>
      <c r="C68" s="35"/>
      <c r="D68" s="35"/>
      <c r="E68" s="30"/>
      <c r="F68" s="30"/>
      <c r="G68" s="3"/>
      <c r="H68" s="3">
        <v>4.8</v>
      </c>
      <c r="I68" s="3">
        <v>6.8</v>
      </c>
    </row>
    <row r="69" spans="1:9" ht="93" customHeight="1" x14ac:dyDescent="0.25">
      <c r="A69" s="39" t="s">
        <v>77</v>
      </c>
      <c r="B69" s="39"/>
      <c r="C69" s="39"/>
      <c r="D69" s="39"/>
      <c r="E69" s="31"/>
      <c r="F69" s="31"/>
      <c r="G69" s="3"/>
      <c r="H69" s="3"/>
      <c r="I69" s="3">
        <v>2</v>
      </c>
    </row>
    <row r="70" spans="1:9" s="3" customFormat="1" ht="30" x14ac:dyDescent="0.25">
      <c r="A70" s="23" t="s">
        <v>64</v>
      </c>
      <c r="B70" s="24" t="s">
        <v>70</v>
      </c>
      <c r="C70" s="37" t="s">
        <v>47</v>
      </c>
      <c r="D70" s="37" t="s">
        <v>76</v>
      </c>
    </row>
    <row r="71" spans="1:9" x14ac:dyDescent="0.25">
      <c r="A71" s="8" t="s">
        <v>65</v>
      </c>
      <c r="B71" s="36">
        <v>40000</v>
      </c>
      <c r="C71" s="38">
        <f>B71/12</f>
        <v>3333.3333333333335</v>
      </c>
      <c r="D71" s="38">
        <f>C71/$E$1</f>
        <v>0.14393494831224038</v>
      </c>
    </row>
    <row r="72" spans="1:9" x14ac:dyDescent="0.25">
      <c r="A72" s="8" t="s">
        <v>66</v>
      </c>
      <c r="B72" s="13">
        <v>56000</v>
      </c>
      <c r="C72" s="38">
        <f t="shared" ref="C72:C75" si="29">B72/12</f>
        <v>4666.666666666667</v>
      </c>
      <c r="D72" s="38">
        <f t="shared" ref="D72:D75" si="30">C72/$E$1</f>
        <v>0.20150892763713654</v>
      </c>
    </row>
    <row r="73" spans="1:9" x14ac:dyDescent="0.25">
      <c r="A73" s="8" t="s">
        <v>67</v>
      </c>
      <c r="B73" s="13">
        <v>120000</v>
      </c>
      <c r="C73" s="38">
        <f t="shared" si="29"/>
        <v>10000</v>
      </c>
      <c r="D73" s="38">
        <f t="shared" si="30"/>
        <v>0.43180484493672117</v>
      </c>
    </row>
    <row r="74" spans="1:9" x14ac:dyDescent="0.25">
      <c r="A74" s="8" t="s">
        <v>68</v>
      </c>
      <c r="B74" s="13">
        <v>65000</v>
      </c>
      <c r="C74" s="38">
        <f t="shared" si="29"/>
        <v>5416.666666666667</v>
      </c>
      <c r="D74" s="38">
        <f t="shared" si="30"/>
        <v>0.23389429100739065</v>
      </c>
    </row>
    <row r="75" spans="1:9" x14ac:dyDescent="0.25">
      <c r="A75" s="8" t="s">
        <v>69</v>
      </c>
      <c r="B75" s="13">
        <v>563000</v>
      </c>
      <c r="C75" s="38">
        <f t="shared" si="29"/>
        <v>46916.666666666664</v>
      </c>
      <c r="D75" s="38">
        <f t="shared" si="30"/>
        <v>2.0258843974947833</v>
      </c>
    </row>
    <row r="76" spans="1:9" x14ac:dyDescent="0.25">
      <c r="A76" s="8" t="s">
        <v>6</v>
      </c>
      <c r="B76" s="13">
        <f>SUM(B71:B75)</f>
        <v>844000</v>
      </c>
      <c r="C76" s="38">
        <f>SUM(C71:C75)</f>
        <v>70333.333333333328</v>
      </c>
      <c r="D76" s="38">
        <f>SUM(D71:D75)</f>
        <v>3.0370274093882719</v>
      </c>
    </row>
    <row r="79" spans="1:9" x14ac:dyDescent="0.25">
      <c r="A79" s="29"/>
      <c r="B79" s="29"/>
      <c r="C79" s="29"/>
      <c r="D79" s="29"/>
    </row>
  </sheetData>
  <mergeCells count="11">
    <mergeCell ref="A1:D1"/>
    <mergeCell ref="A79:D79"/>
    <mergeCell ref="E68:F68"/>
    <mergeCell ref="E69:F69"/>
    <mergeCell ref="C65:D65"/>
    <mergeCell ref="C66:D66"/>
    <mergeCell ref="A12:E12"/>
    <mergeCell ref="A68:D68"/>
    <mergeCell ref="A69:D69"/>
    <mergeCell ref="C2:G2"/>
    <mergeCell ref="C4:G4"/>
  </mergeCells>
  <pageMargins left="0.23622047244094491" right="0.23622047244094491" top="0.19685039370078741" bottom="0.19685039370078741" header="0.31496062992125984" footer="0.31496062992125984"/>
  <pageSetup paperSize="9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А.</dc:creator>
  <cp:lastModifiedBy>павел А.</cp:lastModifiedBy>
  <cp:lastPrinted>2026-04-18T06:02:10Z</cp:lastPrinted>
  <dcterms:created xsi:type="dcterms:W3CDTF">2025-12-16T07:46:59Z</dcterms:created>
  <dcterms:modified xsi:type="dcterms:W3CDTF">2026-04-18T06:02:30Z</dcterms:modified>
</cp:coreProperties>
</file>